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<sst xmlns="http://schemas.openxmlformats.org/spreadsheetml/2006/main" count="125" uniqueCount="121">
  <si>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</si>
  <si>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</si>
  <si>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</si>
  <si>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</si>
  <si>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</si>
  <si>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</si>
  <si>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</si>
  <si>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</si>
  <si>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</si>
  <si>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</si>
  <si>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</si>
  <si>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</si>
  <si>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</si>
  <si>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</si>
  <si>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</si>
  <si>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</si>
  <si>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</si>
  <si>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</si>
  <si>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</si>
  <si>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</si>
  <si>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</si>
  <si>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</si>
  <si>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</si>
  <si>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</si>
  <si>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</si>
  <si>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</si>
  <si>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</si>
  <si>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</si>
  <si>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</si>
  <si>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</si>
  <si>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</si>
  <si>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</si>
  <si>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</si>
  <si>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</si>
  <si>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</si>
  <si>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</si>
  <si>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</si>
  <si>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</si>
  <si>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</si>
  <si>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</si>
  <si>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</si>
  <si>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</si>
  <si>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</si>
  <si>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</si>
  <si>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</si>
  <si>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</si>
  <si>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</si>
  <si>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</si>
  <si>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</si>
  <si>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</si>
  <si>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</si>
  <si>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</si>
  <si>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</si>
  <si>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</si>
  <si>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</si>
  <si>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</si>
  <si>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</si>
  <si>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</si>
  <si>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</si>
  <si>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</si>
  <si>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</si>
  <si>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</si>
  <si>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</si>
  <si>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</si>
  <si>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</si>
  <si>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</si>
  <si>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</si>
  <si>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</si>
  <si>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</si>
  <si>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</si>
  <si>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</si>
  <si>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</si>
  <si>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</si>
  <si>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</si>
  <si>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</si>
  <si>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</si>
  <si>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</si>
  <si>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</si>
  <si>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</si>
  <si>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</si>
  <si>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</si>
  <si>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</si>
  <si>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</si>
  <si>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</si>
  <si>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</si>
  <si>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</si>
  <si>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</si>
  <si>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</si>
  <si>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</si>
  <si>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</si>
  <si>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</si>
  <si>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</si>
  <si>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</si>
  <si>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</si>
  <si>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</si>
  <si>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</si>
  <si>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</si>
  <si>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</si>
  <si>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</si>
  <si>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</si>
  <si>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</si>
  <si>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</si>
  <si>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</si>
  <si>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</si>
  <si>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</si>
  <si>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</si>
  <si>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</si>
  <si>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</si>
  <si>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</si>
  <si>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</si>
  <si>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</si>
  <si>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</si>
  <si>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</si>
  <si>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</si>
  <si>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</si>
  <si>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</si>
  <si>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</si>
  <si>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</si>
  <si>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</si>
  <si>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</si>
  <si>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Профінансовано станом на 12.09.16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</si>
</sst>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7" sqref="I2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120</v>
      </c>
      <c r="I4" s="84" t="s">
        <v>41</v>
      </c>
      <c r="J4" s="84" t="s">
        <v>119</v>
      </c>
      <c r="K4" s="89" t="s">
        <v>118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4" t="s">
        <v>51</v>
      </c>
      <c r="V4" s="84" t="s">
        <v>52</v>
      </c>
      <c r="W4" s="84" t="s">
        <v>53</v>
      </c>
      <c r="X4" s="84" t="s">
        <v>54</v>
      </c>
    </row>
    <row r="5" spans="1:24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88"/>
      <c r="J7" s="67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106835096.82000001</v>
      </c>
      <c r="I8" s="71">
        <f>H8/D8*100</f>
        <v>72.70628388548457</v>
      </c>
      <c r="J8" s="71">
        <f>H8/(L8+M8+N8+O8+P8+Q8+R8+N25+O25+P25+Q25+R25+S8+S25+T8)*100</f>
        <v>95.2285949734565</v>
      </c>
      <c r="K8" s="64">
        <f>K9+K17</f>
        <v>2896856.8399999985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28288163.090000004</v>
      </c>
      <c r="I9" s="45">
        <f>H9/D9*100</f>
        <v>71.17098428735227</v>
      </c>
      <c r="J9" s="45">
        <f>H9/(L9+M9+N9+O9+P9+Q9+R9+S9+T9+M17+N17+O17+P17+Q17+R17+S17+T17)*100</f>
        <v>90.71074238046832</v>
      </c>
      <c r="K9" s="23">
        <f>L9+M9+N9+O9+P9+Q9+R9+S9+T9-H10-H11-H12-H13-H14-H15-H16</f>
        <v>48842.2499999986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92">
        <f>(H10+H11+H12+H13+H14+H15+H16)/(L9+M9+N9+O9+P9+Q9+R9+S9+T9)*100</f>
        <v>99.7478536349292</v>
      </c>
      <c r="K10" s="51">
        <f aca="true" t="shared" si="2" ref="K10:K16">E10-H10</f>
        <v>2790.009999997914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</f>
        <v>3411043.5900000003</v>
      </c>
      <c r="I12" s="46">
        <f aca="true" t="shared" si="3" ref="I12:I24">H12/D12*100</f>
        <v>95.0034243408831</v>
      </c>
      <c r="J12" s="93"/>
      <c r="K12" s="51">
        <f t="shared" si="2"/>
        <v>179399.18999999994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t="shared" si="3"/>
        <v>46.78753571428572</v>
      </c>
      <c r="J13" s="93"/>
      <c r="K13" s="51">
        <f t="shared" si="2"/>
        <v>1489949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93"/>
      <c r="K15" s="51">
        <f t="shared" si="2"/>
        <v>307.28000000002794</v>
      </c>
      <c r="T15" s="73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4"/>
      <c r="K16" s="51">
        <f t="shared" si="2"/>
        <v>6511739.26</v>
      </c>
      <c r="V16" s="73">
        <v>2000000</v>
      </c>
      <c r="W16" s="73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8966410.81</v>
      </c>
      <c r="I17" s="46">
        <f t="shared" si="3"/>
        <v>73.46084870183603</v>
      </c>
      <c r="J17" s="92">
        <f>H17/(L17+M17+N17+O17+P17+Q17+R17+S17+T17)*100</f>
        <v>75.8937528184824</v>
      </c>
      <c r="K17" s="72">
        <f>L17+M17+N17+O17+P17+Q17+R17+S17+T17-H17</f>
        <v>2848014.59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</f>
        <v>3855438.9300000006</v>
      </c>
      <c r="I18" s="47">
        <f>H18/D18*100</f>
        <v>85.42016018610835</v>
      </c>
      <c r="J18" s="93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</f>
        <v>3689349.5999999996</v>
      </c>
      <c r="I19" s="47">
        <f>H19/D19*100</f>
        <v>69.24974847961558</v>
      </c>
      <c r="J19" s="93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93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</f>
        <v>915326.7100000002</v>
      </c>
      <c r="I21" s="47">
        <f t="shared" si="3"/>
        <v>88.94438927217959</v>
      </c>
      <c r="J21" s="93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4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78546933.73</v>
      </c>
      <c r="I25" s="45">
        <f>H25/D25*100</f>
        <v>73.27556245625499</v>
      </c>
      <c r="J25" s="69">
        <f>H25/(L25+M25+N25+O25+P25+Q25+R25+S25+T25)*100</f>
        <v>87.40903798252408</v>
      </c>
      <c r="K25" s="52">
        <f>L25+M25+N25+O25+P25+Q25+R25+S25+T25-H25</f>
        <v>11314407.319999993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8858318.25</v>
      </c>
      <c r="U25" s="62">
        <f t="shared" si="5"/>
        <v>6706628.32</v>
      </c>
      <c r="V25" s="62">
        <f t="shared" si="5"/>
        <v>3377592.43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H26/(L26+M26+N26+O26+P26+Q26+R26+S26+T26)*100</f>
        <v>40.476190476190474</v>
      </c>
      <c r="K26" s="52">
        <f aca="true" t="shared" si="7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4">
        <f>SUM(L26:W26)</f>
        <v>420000</v>
      </c>
      <c r="Y26" s="75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8" ref="D27:D42">F27</f>
        <v>40000</v>
      </c>
      <c r="E27" s="30"/>
      <c r="F27" s="32">
        <f aca="true" t="shared" si="9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8">
        <f aca="true" t="shared" si="10" ref="J27:J45">H27/(L27+M27+N27+O27+P27+Q27+R27+S27+T27)*100</f>
        <v>100</v>
      </c>
      <c r="K27" s="52">
        <f t="shared" si="7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4">
        <f aca="true" t="shared" si="11" ref="X27:X45">SUM(L27:W27)</f>
        <v>40000</v>
      </c>
      <c r="Y27" s="75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8"/>
        <v>378000</v>
      </c>
      <c r="E28" s="30"/>
      <c r="F28" s="32">
        <f t="shared" si="9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10"/>
        <v>99.9891111111111</v>
      </c>
      <c r="K28" s="52">
        <f t="shared" si="7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4">
        <f t="shared" si="11"/>
        <v>378000</v>
      </c>
      <c r="Y28" s="75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8"/>
        <v>360000</v>
      </c>
      <c r="E29" s="30"/>
      <c r="F29" s="32">
        <f t="shared" si="9"/>
        <v>360000</v>
      </c>
      <c r="G29" s="32">
        <f>320000+40000</f>
        <v>360000</v>
      </c>
      <c r="H29" s="25">
        <f>20000+15000+230000+75265.57+5038</f>
        <v>345303.57</v>
      </c>
      <c r="I29" s="46">
        <f>H29/D29*100</f>
        <v>95.91765833333334</v>
      </c>
      <c r="J29" s="68">
        <f t="shared" si="10"/>
        <v>95.91765833333334</v>
      </c>
      <c r="K29" s="52">
        <f t="shared" si="7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4">
        <f t="shared" si="11"/>
        <v>360000</v>
      </c>
      <c r="Y29" s="75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8"/>
        <v>402000</v>
      </c>
      <c r="E30" s="30"/>
      <c r="F30" s="32">
        <f t="shared" si="9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10"/>
        <v>45.27363184079602</v>
      </c>
      <c r="K30" s="52">
        <f t="shared" si="7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4">
        <f t="shared" si="11"/>
        <v>402000</v>
      </c>
      <c r="Y30" s="75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8"/>
        <v>700000</v>
      </c>
      <c r="E31" s="30"/>
      <c r="F31" s="32">
        <f t="shared" si="9"/>
        <v>700000</v>
      </c>
      <c r="G31" s="32">
        <f>700000</f>
        <v>700000</v>
      </c>
      <c r="H31" s="25">
        <f>27000+462000</f>
        <v>489000</v>
      </c>
      <c r="I31" s="46">
        <f>H31/D31*100</f>
        <v>69.85714285714286</v>
      </c>
      <c r="J31" s="68">
        <f t="shared" si="10"/>
        <v>69.85714285714286</v>
      </c>
      <c r="K31" s="52">
        <f t="shared" si="7"/>
        <v>211000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4">
        <f t="shared" si="11"/>
        <v>700000</v>
      </c>
      <c r="Y31" s="75">
        <f t="shared" si="6"/>
        <v>0</v>
      </c>
    </row>
    <row r="32" spans="1:25" s="4" customFormat="1" ht="24" customHeight="1">
      <c r="A32" s="1"/>
      <c r="B32" s="5"/>
      <c r="C32" s="79" t="s">
        <v>117</v>
      </c>
      <c r="D32" s="32">
        <f t="shared" si="8"/>
        <v>541000</v>
      </c>
      <c r="E32" s="30"/>
      <c r="F32" s="32">
        <f t="shared" si="9"/>
        <v>541000</v>
      </c>
      <c r="G32" s="32">
        <f>291000+250000</f>
        <v>541000</v>
      </c>
      <c r="H32" s="25"/>
      <c r="I32" s="45"/>
      <c r="J32" s="68">
        <f t="shared" si="10"/>
        <v>0</v>
      </c>
      <c r="K32" s="52">
        <f>L32+M32+N32+O32+P32+Q32+R32+S32+T32-H32</f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4">
        <f t="shared" si="11"/>
        <v>541000</v>
      </c>
      <c r="Y32" s="75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8"/>
        <v>1050000</v>
      </c>
      <c r="E33" s="30"/>
      <c r="F33" s="32">
        <f t="shared" si="9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10"/>
        <v>55.75922989892236</v>
      </c>
      <c r="K33" s="52">
        <f t="shared" si="7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4">
        <f>SUM(L33:W33)</f>
        <v>1050000</v>
      </c>
      <c r="Y33" s="75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8"/>
        <v>7000000</v>
      </c>
      <c r="E34" s="30"/>
      <c r="F34" s="32">
        <f t="shared" si="9"/>
        <v>7000000</v>
      </c>
      <c r="G34" s="32">
        <v>7000000</v>
      </c>
      <c r="H34" s="25">
        <f>146000+118000+3301936</f>
        <v>3565936</v>
      </c>
      <c r="I34" s="46">
        <f>H34/D34*100</f>
        <v>50.941942857142855</v>
      </c>
      <c r="J34" s="68">
        <f t="shared" si="10"/>
        <v>99.99820527201346</v>
      </c>
      <c r="K34" s="52">
        <f t="shared" si="7"/>
        <v>64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4">
        <f t="shared" si="11"/>
        <v>7000000</v>
      </c>
      <c r="Y34" s="75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8"/>
        <v>23000000</v>
      </c>
      <c r="E35" s="30"/>
      <c r="F35" s="32">
        <f t="shared" si="9"/>
        <v>23000000</v>
      </c>
      <c r="G35" s="32">
        <v>23000000</v>
      </c>
      <c r="H35" s="25">
        <f>250000+350000+11000000+385798+506503.4+2540985.6+1579928.6+21155+3388311.6+2673656.8</f>
        <v>22696339</v>
      </c>
      <c r="I35" s="46">
        <f aca="true" t="shared" si="12" ref="I35:I41">H35/D35*100</f>
        <v>98.67973478260869</v>
      </c>
      <c r="J35" s="68">
        <f t="shared" si="10"/>
        <v>113.28344896431246</v>
      </c>
      <c r="K35" s="52">
        <f t="shared" si="7"/>
        <v>-2661339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f>1600000+3400000</f>
        <v>5000000</v>
      </c>
      <c r="U35" s="43">
        <f>152379.64+3774249.93-1600000-2300000</f>
        <v>26629.570000000298</v>
      </c>
      <c r="V35" s="43">
        <f>3073370.43-1535000-1100000</f>
        <v>438370.43000000017</v>
      </c>
      <c r="W35" s="43">
        <f>3500000-1000000</f>
        <v>2500000</v>
      </c>
      <c r="X35" s="74">
        <f t="shared" si="11"/>
        <v>23000000</v>
      </c>
      <c r="Y35" s="75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8"/>
        <v>1466600</v>
      </c>
      <c r="E36" s="30"/>
      <c r="F36" s="32">
        <f t="shared" si="9"/>
        <v>1466600</v>
      </c>
      <c r="G36" s="32">
        <f>1281600+185000</f>
        <v>1466600</v>
      </c>
      <c r="H36" s="25">
        <f>80000+35000+1000000</f>
        <v>1115000</v>
      </c>
      <c r="I36" s="46">
        <f t="shared" si="12"/>
        <v>76.02618300831855</v>
      </c>
      <c r="J36" s="68">
        <f t="shared" si="10"/>
        <v>85.6637984019668</v>
      </c>
      <c r="K36" s="52">
        <f t="shared" si="7"/>
        <v>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4">
        <f t="shared" si="11"/>
        <v>1466600</v>
      </c>
      <c r="Y36" s="75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8"/>
        <v>49273597</v>
      </c>
      <c r="E37" s="30"/>
      <c r="F37" s="32">
        <f t="shared" si="9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</f>
        <v>33209598.570000004</v>
      </c>
      <c r="I37" s="46">
        <f t="shared" si="12"/>
        <v>67.39836462517646</v>
      </c>
      <c r="J37" s="68">
        <f t="shared" si="10"/>
        <v>82.53170101830341</v>
      </c>
      <c r="K37" s="52">
        <f t="shared" si="7"/>
        <v>7028998.429999996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4">
        <f t="shared" si="11"/>
        <v>49273597</v>
      </c>
      <c r="Y37" s="75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8"/>
        <v>5000000</v>
      </c>
      <c r="E38" s="30"/>
      <c r="F38" s="32">
        <f t="shared" si="9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10"/>
        <v>93.16901408450704</v>
      </c>
      <c r="K38" s="52">
        <f t="shared" si="7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4">
        <f t="shared" si="11"/>
        <v>5000000</v>
      </c>
      <c r="Y38" s="75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8"/>
        <v>6380000</v>
      </c>
      <c r="E39" s="30"/>
      <c r="F39" s="32">
        <f t="shared" si="9"/>
        <v>6380000</v>
      </c>
      <c r="G39" s="32">
        <f>5000000+1380000</f>
        <v>6380000</v>
      </c>
      <c r="H39" s="25">
        <f>173000+900000+31000+900000+32000+1100000+32000+500000+21466.9+43601.11+16760.29+377319.01+6388</f>
        <v>4133535.3099999996</v>
      </c>
      <c r="I39" s="46">
        <f t="shared" si="12"/>
        <v>64.78895470219435</v>
      </c>
      <c r="J39" s="68">
        <f t="shared" si="10"/>
        <v>64.78895470219435</v>
      </c>
      <c r="K39" s="52">
        <f t="shared" si="7"/>
        <v>2246464.6900000004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4">
        <f t="shared" si="11"/>
        <v>6380000</v>
      </c>
      <c r="Y39" s="75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8"/>
        <v>1391000</v>
      </c>
      <c r="E40" s="30"/>
      <c r="F40" s="32">
        <f t="shared" si="9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8">
        <f t="shared" si="10"/>
        <v>99.5836002875629</v>
      </c>
      <c r="K40" s="52">
        <f t="shared" si="7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4">
        <f t="shared" si="11"/>
        <v>1391000</v>
      </c>
      <c r="Y40" s="75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8"/>
        <v>1600000</v>
      </c>
      <c r="E41" s="30"/>
      <c r="F41" s="32">
        <f t="shared" si="9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8">
        <f t="shared" si="10"/>
        <v>69.62620187499999</v>
      </c>
      <c r="K41" s="52">
        <f t="shared" si="7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4">
        <f t="shared" si="11"/>
        <v>1600000</v>
      </c>
      <c r="Y41" s="75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8"/>
        <v>89760</v>
      </c>
      <c r="E42" s="30"/>
      <c r="F42" s="32">
        <f t="shared" si="9"/>
        <v>89760</v>
      </c>
      <c r="G42" s="32">
        <v>89760</v>
      </c>
      <c r="H42" s="25"/>
      <c r="I42" s="46"/>
      <c r="J42" s="68">
        <f t="shared" si="10"/>
        <v>0</v>
      </c>
      <c r="K42" s="52">
        <f t="shared" si="7"/>
        <v>89760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4">
        <f t="shared" si="11"/>
        <v>89760</v>
      </c>
      <c r="Y42" s="75">
        <f t="shared" si="6"/>
        <v>0</v>
      </c>
    </row>
    <row r="43" spans="1:25" s="4" customFormat="1" ht="24" customHeight="1">
      <c r="A43" s="1"/>
      <c r="B43" s="5"/>
      <c r="C43" s="76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10"/>
        <v>68.85703285714285</v>
      </c>
      <c r="K43" s="52">
        <f t="shared" si="7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4">
        <f t="shared" si="11"/>
        <v>7700000</v>
      </c>
      <c r="Y43" s="75">
        <f t="shared" si="6"/>
        <v>0</v>
      </c>
    </row>
    <row r="44" spans="1:25" s="4" customFormat="1" ht="22.5" customHeight="1">
      <c r="A44" s="1"/>
      <c r="B44" s="5"/>
      <c r="C44" s="76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8">
        <f t="shared" si="10"/>
        <v>124.01066072230009</v>
      </c>
      <c r="K44" s="52">
        <f t="shared" si="7"/>
        <v>-28220.75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4">
        <f>SUM(L44:W44)</f>
        <v>145755</v>
      </c>
      <c r="Y44" s="75">
        <f t="shared" si="6"/>
        <v>0</v>
      </c>
    </row>
    <row r="45" spans="1:25" s="4" customFormat="1" ht="22.5" customHeight="1">
      <c r="A45" s="1"/>
      <c r="B45" s="77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10"/>
        <v>100.00000000000016</v>
      </c>
      <c r="K45" s="52">
        <f t="shared" si="7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4">
        <f t="shared" si="11"/>
        <v>256188.79999999958</v>
      </c>
      <c r="Y45" s="75">
        <f t="shared" si="6"/>
        <v>2.3283064365386963E-10</v>
      </c>
    </row>
    <row r="46" spans="1:25" s="16" customFormat="1" ht="24" customHeight="1">
      <c r="A46" s="86" t="s">
        <v>29</v>
      </c>
      <c r="B46" s="87"/>
      <c r="C46" s="87"/>
      <c r="D46" s="87"/>
      <c r="E46" s="87"/>
      <c r="F46" s="87"/>
      <c r="G46" s="87"/>
      <c r="H46" s="87"/>
      <c r="I46" s="87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44434726.39</v>
      </c>
      <c r="I47" s="65">
        <f>H47/D47*100</f>
        <v>46.55273125555542</v>
      </c>
      <c r="J47" s="65">
        <f>H48/(L48+M48+N48+O48+P48+Q48+R48+S48+T48)*100</f>
        <v>67.44221829487888</v>
      </c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44434726.39</v>
      </c>
      <c r="I48" s="48">
        <f>H48/D48*100</f>
        <v>46.55273125555542</v>
      </c>
      <c r="J48" s="69">
        <f>H48/(L48+M48+N48+O48+P48+Q48+R48+S48+T48)*100</f>
        <v>67.44221829487888</v>
      </c>
      <c r="K48" s="52">
        <f>L48+M48+N48+O48+P48+Q48+R48+S48+T48-H48</f>
        <v>21450897.65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18083470.259999998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10375125.219999999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78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8">
        <f>H49/(L49+M49+N49+O49+P49+Q49+R49+S49+T49)*100</f>
        <v>99.97009562848389</v>
      </c>
      <c r="K49" s="52">
        <f t="shared" si="7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70">
        <f aca="true" t="shared" si="16" ref="Y49:Y103">D49-X49</f>
        <v>0</v>
      </c>
    </row>
    <row r="50" spans="1:25" s="78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/>
      <c r="K50" s="52">
        <f t="shared" si="7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78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7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78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/>
      <c r="K52" s="52">
        <f t="shared" si="7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78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/>
      <c r="K53" s="52">
        <f t="shared" si="7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7"/>
        <v>600000</v>
      </c>
      <c r="Y53" s="70">
        <f t="shared" si="16"/>
        <v>0</v>
      </c>
    </row>
    <row r="54" spans="1:25" s="78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</f>
        <v>422921.55</v>
      </c>
      <c r="I54" s="46">
        <f>H54/D54*100</f>
        <v>38.447413636363635</v>
      </c>
      <c r="J54" s="68">
        <f>H54/(L54+M54+N54+O54+P54+Q54+R54+S54+T54)*100</f>
        <v>44.891073894001174</v>
      </c>
      <c r="K54" s="52">
        <f t="shared" si="7"/>
        <v>519184.56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78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7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78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78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>H57/(L57+M57+N57+O57+P57+Q57+R57+S57+T57)*100</f>
        <v>#DIV/0!</v>
      </c>
      <c r="K57" s="52">
        <f t="shared" si="7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78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7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78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/>
      <c r="K59" s="52">
        <f t="shared" si="7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7"/>
        <v>128800</v>
      </c>
      <c r="Y59" s="70">
        <f t="shared" si="16"/>
        <v>0</v>
      </c>
    </row>
    <row r="60" spans="1:25" s="78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/>
      <c r="K60" s="52">
        <f t="shared" si="7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78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>H61/(L61+M61+N61+O61+P61+Q61+R61+S61+T61)*100</f>
        <v>30</v>
      </c>
      <c r="K61" s="52">
        <f t="shared" si="7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78" customFormat="1" ht="23.25" customHeight="1">
      <c r="A62" s="1"/>
      <c r="B62" s="29"/>
      <c r="C62" s="79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/>
      <c r="K62" s="52">
        <f t="shared" si="7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78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7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78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/>
      <c r="K64" s="52">
        <f t="shared" si="7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78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/>
      <c r="K65" s="52">
        <f t="shared" si="7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78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/>
      <c r="K66" s="52">
        <f t="shared" si="7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78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>H67/(L67+M67+N67+O67+P67+Q67+R67+S67+T67)*100</f>
        <v>30</v>
      </c>
      <c r="K67" s="52">
        <f t="shared" si="7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78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/>
      <c r="K68" s="52">
        <f t="shared" si="7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78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>H69/(L69+M69+N69+O69+P69+Q69+R69+S69+T69)*100</f>
        <v>9.67741935483871</v>
      </c>
      <c r="K69" s="52">
        <f t="shared" si="7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78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>H70/(L70+M70+N70+O70+P70+Q70+R70+S70+T70)*100</f>
        <v>30</v>
      </c>
      <c r="K70" s="52">
        <f t="shared" si="7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78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>H71/(L71+M71+N71+O71+P71+Q71+R71+S71+T71)*100</f>
        <v>39.482256016108764</v>
      </c>
      <c r="K71" s="52">
        <f t="shared" si="7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78" customFormat="1" ht="26.2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7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78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7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78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7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78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7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78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>H76/(L76+M76+N76+O76+P76+Q76+R76+S76+T76)*100</f>
        <v>99.7185549165603</v>
      </c>
      <c r="K76" s="52">
        <f t="shared" si="7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78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>H77/(L77+M77+N77+O77+P77+Q77+R77+S77+T77)*100</f>
        <v>62.61171163506879</v>
      </c>
      <c r="K77" s="52">
        <f t="shared" si="7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78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>H78/(L78+M78+N78+O78+P78+Q78+R78+S78+T78)*100</f>
        <v>86.89395421669501</v>
      </c>
      <c r="K78" s="52">
        <f t="shared" si="7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78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>H79/(L79+M79+N79+O79+P79+Q79+R79+S79+T79)*100</f>
        <v>42.981714569273514</v>
      </c>
      <c r="K79" s="52">
        <f t="shared" si="7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78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>H80/(L80+M80+N80+O80+P80+Q80+R80+S80+T80)*100</f>
        <v>5.931969523809523</v>
      </c>
      <c r="K80" s="52">
        <f t="shared" si="7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78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/>
      <c r="K81" s="52">
        <f t="shared" si="7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78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7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78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7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78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/>
      <c r="K84" s="52">
        <f t="shared" si="7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78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>H85/(L85+M85+N85+O85+P85+Q85+R85+S85+T85)*100</f>
        <v>69.34306569343066</v>
      </c>
      <c r="K85" s="52">
        <f t="shared" si="7"/>
        <v>2520000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78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>H86/(L86+M86+N86+O86+P86+Q86+R86+S86+T86)*100</f>
        <v>82.10184325215685</v>
      </c>
      <c r="K86" s="52">
        <f t="shared" si="7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78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>H87/(L87+M87+N87+O87+P87+Q87+R87+S87+T87)*100</f>
        <v>44.439665354330714</v>
      </c>
      <c r="K87" s="52">
        <f t="shared" si="7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78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</f>
        <v>19796374.88</v>
      </c>
      <c r="I88" s="46">
        <f>H88/D88*100</f>
        <v>98.9818744</v>
      </c>
      <c r="J88" s="68">
        <f>H88/(L88+M88+N88+O88+P88+Q88+R88+S88+T88)*100</f>
        <v>98.9818744</v>
      </c>
      <c r="K88" s="52">
        <f t="shared" si="7"/>
        <v>203625.12000000104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7"/>
        <v>20000000</v>
      </c>
      <c r="Y88" s="70">
        <f t="shared" si="16"/>
        <v>0</v>
      </c>
    </row>
    <row r="89" spans="1:25" s="78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/>
      <c r="K89" s="52">
        <f t="shared" si="7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78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/>
      <c r="K90" s="52">
        <f aca="true" t="shared" si="18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78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/>
      <c r="K91" s="52">
        <f t="shared" si="18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78" customFormat="1" ht="40.5" customHeight="1">
      <c r="A92" s="1"/>
      <c r="B92" s="29"/>
      <c r="C92" s="55" t="s">
        <v>92</v>
      </c>
      <c r="D92" s="32">
        <f aca="true" t="shared" si="19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/>
      <c r="K92" s="52">
        <f t="shared" si="18"/>
        <v>3747785.76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v>549239.76</v>
      </c>
      <c r="U92" s="60">
        <v>5037999.2</v>
      </c>
      <c r="V92" s="60">
        <v>1338861.78</v>
      </c>
      <c r="W92" s="60">
        <v>421352.46</v>
      </c>
      <c r="X92" s="59">
        <f t="shared" si="17"/>
        <v>10545999.200000001</v>
      </c>
      <c r="Y92" s="70">
        <f t="shared" si="16"/>
        <v>0</v>
      </c>
    </row>
    <row r="93" spans="1:25" s="78" customFormat="1" ht="40.5" customHeight="1">
      <c r="A93" s="1"/>
      <c r="B93" s="29"/>
      <c r="C93" s="55" t="s">
        <v>93</v>
      </c>
      <c r="D93" s="32">
        <f t="shared" si="19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>H93/(L93+M93+N93+O93+P93+Q93+R93+S93+T93)*100</f>
        <v>21.42764790183323</v>
      </c>
      <c r="K93" s="52">
        <f t="shared" si="18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78" customFormat="1" ht="40.5" customHeight="1">
      <c r="A94" s="1"/>
      <c r="B94" s="29"/>
      <c r="C94" s="55" t="s">
        <v>94</v>
      </c>
      <c r="D94" s="32">
        <f t="shared" si="19"/>
        <v>300000</v>
      </c>
      <c r="E94" s="6"/>
      <c r="F94" s="25">
        <f t="shared" si="15"/>
        <v>300000</v>
      </c>
      <c r="G94" s="32">
        <v>300000</v>
      </c>
      <c r="H94" s="25">
        <f>81000+29133+189000</f>
        <v>299133</v>
      </c>
      <c r="I94" s="46">
        <f>H94/D94*100</f>
        <v>99.711</v>
      </c>
      <c r="J94" s="68">
        <f>H94/(L94+M94+N94+O94+P94+Q94+R94+S94+T94)*100</f>
        <v>99.711</v>
      </c>
      <c r="K94" s="52">
        <f t="shared" si="18"/>
        <v>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78" customFormat="1" ht="40.5" customHeight="1">
      <c r="A95" s="1"/>
      <c r="B95" s="29"/>
      <c r="C95" s="55" t="s">
        <v>95</v>
      </c>
      <c r="D95" s="32">
        <f t="shared" si="19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>H95/(L95+M95+N95+O95+P95+Q95+R95+S95+T95)*100</f>
        <v>54.9485</v>
      </c>
      <c r="K95" s="52">
        <f t="shared" si="18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78" customFormat="1" ht="40.5" customHeight="1">
      <c r="A96" s="1"/>
      <c r="B96" s="29"/>
      <c r="C96" s="55" t="s">
        <v>96</v>
      </c>
      <c r="D96" s="32">
        <f t="shared" si="19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>H96/(L96+M96+N96+O96+P96+Q96+R96+S96+T96)*100</f>
        <v>87.36599374999999</v>
      </c>
      <c r="K96" s="52">
        <f t="shared" si="18"/>
        <v>20214.410000000003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/>
      <c r="U96" s="59"/>
      <c r="V96" s="59">
        <v>378000</v>
      </c>
      <c r="W96" s="59"/>
      <c r="X96" s="59">
        <f t="shared" si="17"/>
        <v>538000</v>
      </c>
      <c r="Y96" s="70">
        <f t="shared" si="16"/>
        <v>0</v>
      </c>
    </row>
    <row r="97" spans="1:25" s="78" customFormat="1" ht="21" customHeight="1">
      <c r="A97" s="1"/>
      <c r="B97" s="29"/>
      <c r="C97" s="55" t="s">
        <v>97</v>
      </c>
      <c r="D97" s="32">
        <f t="shared" si="19"/>
        <v>5000</v>
      </c>
      <c r="E97" s="6"/>
      <c r="F97" s="25">
        <f t="shared" si="15"/>
        <v>5000</v>
      </c>
      <c r="G97" s="32">
        <v>5000</v>
      </c>
      <c r="H97" s="25"/>
      <c r="I97" s="46"/>
      <c r="J97" s="68"/>
      <c r="K97" s="52">
        <f t="shared" si="18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78" customFormat="1" ht="26.25" customHeight="1">
      <c r="A98" s="1"/>
      <c r="B98" s="29"/>
      <c r="C98" s="55" t="s">
        <v>98</v>
      </c>
      <c r="D98" s="32">
        <f t="shared" si="19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8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78" customFormat="1" ht="22.5" customHeight="1">
      <c r="A99" s="1"/>
      <c r="B99" s="29"/>
      <c r="C99" s="56" t="s">
        <v>99</v>
      </c>
      <c r="D99" s="32">
        <f t="shared" si="19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8"/>
      <c r="K99" s="52">
        <f t="shared" si="18"/>
        <v>250000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78" customFormat="1" ht="22.5" customHeight="1">
      <c r="A100" s="1"/>
      <c r="B100" s="29"/>
      <c r="C100" s="55" t="s">
        <v>100</v>
      </c>
      <c r="D100" s="32">
        <f t="shared" si="19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8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151269823.21</v>
      </c>
      <c r="I101" s="44">
        <f>H101/D101*100</f>
        <v>62.407366145710405</v>
      </c>
      <c r="J101" s="44">
        <f>H101/(L101+M101+N101+O101+P101+Q101+R101+S101+T101)*100</f>
        <v>80.92238639300575</v>
      </c>
      <c r="K101" s="52">
        <f t="shared" si="18"/>
        <v>35662161.80999997</v>
      </c>
      <c r="L101" s="20">
        <f aca="true" t="shared" si="20" ref="L101:X101">L8+L25+L48</f>
        <v>112816</v>
      </c>
      <c r="M101" s="20">
        <f t="shared" si="20"/>
        <v>3716000</v>
      </c>
      <c r="N101" s="20">
        <f t="shared" si="20"/>
        <v>13054000</v>
      </c>
      <c r="O101" s="20">
        <f t="shared" si="20"/>
        <v>23627301.990000002</v>
      </c>
      <c r="P101" s="20">
        <f t="shared" si="20"/>
        <v>25067943.939999998</v>
      </c>
      <c r="Q101" s="20">
        <f t="shared" si="20"/>
        <v>23413655.38</v>
      </c>
      <c r="R101" s="20">
        <f t="shared" si="20"/>
        <v>31674418.01</v>
      </c>
      <c r="S101" s="20">
        <f t="shared" si="20"/>
        <v>45593908.06</v>
      </c>
      <c r="T101" s="20">
        <f t="shared" si="20"/>
        <v>20671941.64</v>
      </c>
      <c r="U101" s="20">
        <f t="shared" si="20"/>
        <v>24420517.43</v>
      </c>
      <c r="V101" s="20">
        <f t="shared" si="20"/>
        <v>16158003.759999998</v>
      </c>
      <c r="W101" s="20">
        <f t="shared" si="20"/>
        <v>14880468.69</v>
      </c>
      <c r="X101" s="20">
        <f t="shared" si="20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2016-09-12T11:58:13Z</dcterms:modified>
  <cp:category/>
  <cp:version/>
  <cp:contentType/>
  <cp:contentStatus/>
</cp:coreProperties>
</file>